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12.1.2" sheetId="1" r:id="rId1"/>
  </sheets>
  <definedNames>
    <definedName name="_xlnm.Print_Titles" localSheetId="0">'12.1.2'!$1:$3</definedName>
  </definedNames>
  <calcPr calcId="125725"/>
</workbook>
</file>

<file path=xl/calcChain.xml><?xml version="1.0" encoding="utf-8"?>
<calcChain xmlns="http://schemas.openxmlformats.org/spreadsheetml/2006/main">
  <c r="AD17" i="1"/>
  <c r="AF20"/>
  <c r="AF17"/>
  <c r="AF15" s="1"/>
  <c r="AF12"/>
  <c r="AF10"/>
  <c r="AF8" s="1"/>
  <c r="AF9"/>
  <c r="AF5"/>
  <c r="AA20"/>
  <c r="AA17"/>
  <c r="AA15"/>
  <c r="AA12"/>
  <c r="AA10"/>
  <c r="AA9"/>
  <c r="AA8"/>
  <c r="AA5"/>
  <c r="AD20" l="1"/>
  <c r="AD15"/>
  <c r="AD10"/>
  <c r="AD9"/>
  <c r="AD12"/>
  <c r="AD5"/>
  <c r="AC20"/>
  <c r="AC17"/>
  <c r="AC16"/>
  <c r="AC12"/>
  <c r="AC10"/>
  <c r="AC9"/>
  <c r="AC5"/>
  <c r="AC8" l="1"/>
  <c r="AC15"/>
  <c r="AD8"/>
  <c r="Y10"/>
  <c r="Y9"/>
  <c r="S20"/>
  <c r="N15"/>
  <c r="N17"/>
  <c r="S10"/>
  <c r="S9"/>
  <c r="S8" s="1"/>
  <c r="N10"/>
  <c r="N9"/>
  <c r="I10"/>
  <c r="I9"/>
  <c r="F10"/>
  <c r="Y20"/>
  <c r="Y17"/>
  <c r="Y5"/>
  <c r="S17"/>
  <c r="N20"/>
  <c r="S5"/>
  <c r="N5"/>
  <c r="I15"/>
  <c r="I17"/>
  <c r="I8"/>
  <c r="I5"/>
  <c r="F15"/>
  <c r="U20"/>
  <c r="U17"/>
  <c r="U15"/>
  <c r="U10"/>
  <c r="U9"/>
  <c r="U5"/>
  <c r="P20"/>
  <c r="P17"/>
  <c r="P15"/>
  <c r="P10"/>
  <c r="P9"/>
  <c r="P8" s="1"/>
  <c r="P5"/>
  <c r="K20"/>
  <c r="K17"/>
  <c r="K15"/>
  <c r="K10"/>
  <c r="K9"/>
  <c r="K5"/>
  <c r="F20"/>
  <c r="F17"/>
  <c r="F9"/>
  <c r="F5"/>
  <c r="Y8" l="1"/>
  <c r="K8"/>
  <c r="F8"/>
  <c r="U8"/>
  <c r="X20"/>
  <c r="X17"/>
  <c r="X16"/>
  <c r="X12"/>
  <c r="X10"/>
  <c r="X9"/>
  <c r="X5"/>
  <c r="R20"/>
  <c r="R17"/>
  <c r="R16"/>
  <c r="R12"/>
  <c r="R10"/>
  <c r="R9"/>
  <c r="R5"/>
  <c r="M20"/>
  <c r="M17"/>
  <c r="M16"/>
  <c r="M12"/>
  <c r="M10"/>
  <c r="M9"/>
  <c r="M5"/>
  <c r="H20"/>
  <c r="H17"/>
  <c r="H15" s="1"/>
  <c r="H12"/>
  <c r="H10"/>
  <c r="H9"/>
  <c r="H5"/>
  <c r="C20"/>
  <c r="C17"/>
  <c r="C15" s="1"/>
  <c r="C12"/>
  <c r="C10"/>
  <c r="C9"/>
  <c r="C5"/>
  <c r="W20"/>
  <c r="W17"/>
  <c r="W16"/>
  <c r="W12"/>
  <c r="W10"/>
  <c r="W9"/>
  <c r="W5"/>
  <c r="Q20"/>
  <c r="Q17"/>
  <c r="Q16"/>
  <c r="Q12"/>
  <c r="Q10"/>
  <c r="Q9"/>
  <c r="Q5"/>
  <c r="L20"/>
  <c r="L17"/>
  <c r="L16"/>
  <c r="L12"/>
  <c r="L10"/>
  <c r="L9"/>
  <c r="L5"/>
  <c r="G20"/>
  <c r="G17"/>
  <c r="G16"/>
  <c r="G12"/>
  <c r="G10"/>
  <c r="G9"/>
  <c r="G5"/>
  <c r="R8" l="1"/>
  <c r="H8"/>
  <c r="X15"/>
  <c r="L8"/>
  <c r="M15"/>
  <c r="R15"/>
  <c r="Q15"/>
  <c r="C8"/>
  <c r="M8"/>
  <c r="X8"/>
  <c r="W8"/>
  <c r="L15"/>
  <c r="Q8"/>
  <c r="G8"/>
  <c r="G15"/>
  <c r="W15"/>
</calcChain>
</file>

<file path=xl/sharedStrings.xml><?xml version="1.0" encoding="utf-8"?>
<sst xmlns="http://schemas.openxmlformats.org/spreadsheetml/2006/main" count="199" uniqueCount="21">
  <si>
    <t xml:space="preserve">Cash Counter </t>
  </si>
  <si>
    <t xml:space="preserve">ATM  Transaction </t>
  </si>
  <si>
    <t>Mobile App Transaction</t>
  </si>
  <si>
    <t>Transaction Type</t>
  </si>
  <si>
    <t>Deposits</t>
  </si>
  <si>
    <t>Withdrawal</t>
  </si>
  <si>
    <t>…</t>
  </si>
  <si>
    <t>Number of Transaction</t>
  </si>
  <si>
    <t>Amount Transacted (Nu. in Million)</t>
  </si>
  <si>
    <t>Druk PNBL</t>
  </si>
  <si>
    <t>BoBL</t>
  </si>
  <si>
    <t>BNBL</t>
  </si>
  <si>
    <t>BDBL</t>
  </si>
  <si>
    <t xml:space="preserve">T-BANK </t>
  </si>
  <si>
    <t xml:space="preserve">Deposits </t>
  </si>
  <si>
    <t>Amount Transacted (Nu. in million)</t>
  </si>
  <si>
    <t xml:space="preserve">Withdrawal </t>
  </si>
  <si>
    <t xml:space="preserve">Source : Bank of Bhutan, Bhutan National Bank, Bhutan Development Bank, Druk PNB, T Bank, Thimphu. </t>
  </si>
  <si>
    <t>Note: The data for the Druk  PNB is not available from the source itself.</t>
  </si>
  <si>
    <t>Table No. 12.1.2: Banking Transaction Trend for all Financial Institutions by Type, 2018 - 2021</t>
  </si>
  <si>
    <t>0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</si>
</sst>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0.000"/>
    <numFmt numFmtId="165" formatCode="#,##0.000"/>
    <numFmt numFmtId="166" formatCode="0.0_)"/>
    <numFmt numFmtId="167" formatCode="_-* #,##0_-;\-* #,##0_-;_-* &quot;-&quot;??_-;_-@_-"/>
    <numFmt numFmtId="168" formatCode="_-* #,##0.000_-;\-* #,##0.000_-;_-* &quot;-&quot;??_-;_-@_-"/>
    <numFmt numFmtId="169" formatCode="_(* #,##0.000_);_(* \(#,##0.000\);_(* &quot;-&quot;??_);_(@_)"/>
    <numFmt numFmtId="170" formatCode="_ * #,##0_ ;_ * \-#,##0_ ;_ * &quot;-&quot;??_ ;_ @_ "/>
    <numFmt numFmtId="171" formatCode="_ * #,##0.000_ ;_ * \-#,##0.000_ ;_ * &quot;-&quot;??_ ;_ @_ "/>
  </numFmts>
  <fonts count="9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theme="1"/>
      <name val="Sylfaen"/>
      <family val="1"/>
    </font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i/>
      <sz val="10"/>
      <color theme="1"/>
      <name val="Myriad Pro"/>
      <family val="2"/>
    </font>
    <font>
      <i/>
      <sz val="10"/>
      <name val="Myriad Pro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Border="1"/>
    <xf numFmtId="0" fontId="1" fillId="0" borderId="0" xfId="0" applyFont="1" applyBorder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43" fontId="4" fillId="0" borderId="0" xfId="1" applyFont="1" applyBorder="1" applyAlignment="1">
      <alignment vertical="center"/>
    </xf>
    <xf numFmtId="43" fontId="5" fillId="0" borderId="0" xfId="1" applyFont="1" applyBorder="1" applyAlignment="1">
      <alignment horizontal="right" vertical="center"/>
    </xf>
    <xf numFmtId="43" fontId="5" fillId="0" borderId="0" xfId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3" fontId="4" fillId="0" borderId="0" xfId="1" applyFont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 indent="1"/>
    </xf>
    <xf numFmtId="1" fontId="4" fillId="0" borderId="0" xfId="0" applyNumberFormat="1" applyFont="1" applyBorder="1" applyAlignment="1">
      <alignment horizontal="right" vertical="center"/>
    </xf>
    <xf numFmtId="3" fontId="4" fillId="0" borderId="0" xfId="1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3" fontId="4" fillId="2" borderId="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left" vertical="center" indent="2"/>
    </xf>
    <xf numFmtId="1" fontId="5" fillId="0" borderId="0" xfId="0" applyNumberFormat="1" applyFont="1" applyBorder="1" applyAlignment="1">
      <alignment horizontal="right" vertical="center"/>
    </xf>
    <xf numFmtId="3" fontId="5" fillId="0" borderId="0" xfId="1" applyNumberFormat="1" applyFont="1" applyBorder="1" applyAlignment="1">
      <alignment horizontal="right" vertical="center"/>
    </xf>
    <xf numFmtId="167" fontId="5" fillId="0" borderId="0" xfId="1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 vertical="center"/>
    </xf>
    <xf numFmtId="3" fontId="5" fillId="2" borderId="0" xfId="1" applyNumberFormat="1" applyFont="1" applyFill="1" applyBorder="1" applyAlignment="1">
      <alignment horizontal="right" vertical="center"/>
    </xf>
    <xf numFmtId="43" fontId="5" fillId="0" borderId="0" xfId="1" applyFont="1" applyBorder="1" applyAlignment="1">
      <alignment horizontal="right"/>
    </xf>
    <xf numFmtId="0" fontId="4" fillId="0" borderId="0" xfId="0" applyFont="1" applyBorder="1" applyAlignment="1">
      <alignment horizontal="left" vertical="center" wrapText="1" indent="1"/>
    </xf>
    <xf numFmtId="164" fontId="4" fillId="0" borderId="0" xfId="0" applyNumberFormat="1" applyFont="1" applyBorder="1" applyAlignment="1">
      <alignment horizontal="right" vertical="center"/>
    </xf>
    <xf numFmtId="165" fontId="4" fillId="0" borderId="0" xfId="1" applyNumberFormat="1" applyFont="1" applyBorder="1" applyAlignment="1">
      <alignment horizontal="right" vertical="center"/>
    </xf>
    <xf numFmtId="165" fontId="4" fillId="0" borderId="0" xfId="0" applyNumberFormat="1" applyFont="1" applyBorder="1" applyAlignment="1">
      <alignment horizontal="right" vertical="center"/>
    </xf>
    <xf numFmtId="4" fontId="4" fillId="2" borderId="0" xfId="1" applyNumberFormat="1" applyFont="1" applyFill="1" applyBorder="1" applyAlignment="1">
      <alignment horizontal="right" vertical="center"/>
    </xf>
    <xf numFmtId="164" fontId="5" fillId="0" borderId="0" xfId="0" applyNumberFormat="1" applyFont="1" applyBorder="1" applyAlignment="1">
      <alignment horizontal="right" vertical="center"/>
    </xf>
    <xf numFmtId="165" fontId="5" fillId="0" borderId="0" xfId="1" applyNumberFormat="1" applyFont="1" applyBorder="1" applyAlignment="1">
      <alignment horizontal="right" vertical="center"/>
    </xf>
    <xf numFmtId="165" fontId="5" fillId="0" borderId="0" xfId="0" applyNumberFormat="1" applyFont="1" applyBorder="1" applyAlignment="1">
      <alignment horizontal="right" vertical="center"/>
    </xf>
    <xf numFmtId="4" fontId="5" fillId="2" borderId="0" xfId="1" applyNumberFormat="1" applyFont="1" applyFill="1" applyBorder="1" applyAlignment="1">
      <alignment horizontal="right" vertical="center"/>
    </xf>
    <xf numFmtId="43" fontId="5" fillId="2" borderId="0" xfId="1" applyFont="1" applyFill="1" applyBorder="1" applyAlignment="1">
      <alignment vertical="center"/>
    </xf>
    <xf numFmtId="3" fontId="4" fillId="2" borderId="0" xfId="1" applyNumberFormat="1" applyFont="1" applyFill="1" applyBorder="1" applyAlignment="1">
      <alignment horizontal="right" vertical="center"/>
    </xf>
    <xf numFmtId="43" fontId="5" fillId="0" borderId="0" xfId="1" quotePrefix="1" applyFont="1" applyFill="1" applyBorder="1" applyAlignment="1">
      <alignment horizontal="right" vertical="center"/>
    </xf>
    <xf numFmtId="165" fontId="4" fillId="0" borderId="0" xfId="1" applyNumberFormat="1" applyFont="1" applyBorder="1" applyAlignment="1">
      <alignment vertical="center"/>
    </xf>
    <xf numFmtId="168" fontId="4" fillId="0" borderId="0" xfId="1" applyNumberFormat="1" applyFont="1" applyBorder="1" applyAlignment="1">
      <alignment horizontal="right" vertical="center"/>
    </xf>
    <xf numFmtId="165" fontId="4" fillId="2" borderId="0" xfId="1" applyNumberFormat="1" applyFont="1" applyFill="1" applyBorder="1" applyAlignment="1">
      <alignment vertical="center"/>
    </xf>
    <xf numFmtId="165" fontId="4" fillId="0" borderId="0" xfId="1" applyNumberFormat="1" applyFont="1" applyFill="1" applyBorder="1" applyAlignment="1">
      <alignment horizontal="right" vertical="center"/>
    </xf>
    <xf numFmtId="169" fontId="4" fillId="0" borderId="0" xfId="1" applyNumberFormat="1" applyFont="1" applyBorder="1" applyAlignment="1">
      <alignment horizontal="right" vertical="center"/>
    </xf>
    <xf numFmtId="165" fontId="5" fillId="0" borderId="0" xfId="1" applyNumberFormat="1" applyFont="1" applyBorder="1" applyAlignment="1">
      <alignment vertical="center"/>
    </xf>
    <xf numFmtId="165" fontId="5" fillId="2" borderId="0" xfId="1" applyNumberFormat="1" applyFont="1" applyFill="1" applyBorder="1" applyAlignment="1">
      <alignment horizontal="right" vertical="center"/>
    </xf>
    <xf numFmtId="168" fontId="5" fillId="0" borderId="0" xfId="1" applyNumberFormat="1" applyFont="1" applyBorder="1" applyAlignment="1">
      <alignment horizontal="right" vertical="center"/>
    </xf>
    <xf numFmtId="165" fontId="5" fillId="2" borderId="0" xfId="1" applyNumberFormat="1" applyFont="1" applyFill="1" applyBorder="1" applyAlignment="1">
      <alignment vertical="center"/>
    </xf>
    <xf numFmtId="169" fontId="5" fillId="0" borderId="0" xfId="1" applyNumberFormat="1" applyFont="1" applyBorder="1" applyAlignment="1">
      <alignment horizontal="right" vertical="center"/>
    </xf>
    <xf numFmtId="3" fontId="5" fillId="0" borderId="0" xfId="1" applyNumberFormat="1" applyFont="1" applyBorder="1" applyAlignment="1">
      <alignment vertical="center"/>
    </xf>
    <xf numFmtId="3" fontId="5" fillId="2" borderId="0" xfId="1" applyNumberFormat="1" applyFont="1" applyFill="1" applyBorder="1" applyAlignment="1">
      <alignment vertical="center"/>
    </xf>
    <xf numFmtId="3" fontId="4" fillId="0" borderId="0" xfId="1" applyNumberFormat="1" applyFont="1" applyBorder="1" applyAlignment="1">
      <alignment vertical="center"/>
    </xf>
    <xf numFmtId="167" fontId="4" fillId="0" borderId="0" xfId="1" applyNumberFormat="1" applyFont="1" applyBorder="1" applyAlignment="1">
      <alignment horizontal="right" vertical="center"/>
    </xf>
    <xf numFmtId="3" fontId="4" fillId="2" borderId="0" xfId="1" applyNumberFormat="1" applyFont="1" applyFill="1" applyBorder="1" applyAlignment="1">
      <alignment vertical="center"/>
    </xf>
    <xf numFmtId="170" fontId="4" fillId="0" borderId="0" xfId="1" applyNumberFormat="1" applyFont="1" applyBorder="1" applyAlignment="1">
      <alignment horizontal="right" vertical="center"/>
    </xf>
    <xf numFmtId="165" fontId="5" fillId="0" borderId="0" xfId="1" applyNumberFormat="1" applyFont="1" applyBorder="1" applyAlignment="1"/>
    <xf numFmtId="165" fontId="5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5" fontId="5" fillId="0" borderId="0" xfId="1" applyNumberFormat="1" applyFont="1" applyBorder="1" applyAlignment="1">
      <alignment horizontal="right"/>
    </xf>
    <xf numFmtId="165" fontId="5" fillId="0" borderId="0" xfId="1" applyNumberFormat="1" applyFont="1" applyBorder="1"/>
    <xf numFmtId="0" fontId="5" fillId="0" borderId="0" xfId="0" applyFont="1" applyBorder="1"/>
    <xf numFmtId="43" fontId="5" fillId="0" borderId="0" xfId="1" applyFont="1" applyFill="1" applyBorder="1" applyAlignment="1">
      <alignment vertical="center"/>
    </xf>
    <xf numFmtId="169" fontId="5" fillId="0" borderId="0" xfId="1" applyNumberFormat="1" applyFont="1" applyFill="1" applyBorder="1" applyAlignment="1">
      <alignment vertical="center"/>
    </xf>
    <xf numFmtId="0" fontId="7" fillId="0" borderId="0" xfId="0" applyFont="1" applyBorder="1" applyAlignment="1"/>
    <xf numFmtId="166" fontId="8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/>
    <xf numFmtId="0" fontId="2" fillId="0" borderId="1" xfId="0" applyFont="1" applyBorder="1"/>
    <xf numFmtId="0" fontId="4" fillId="0" borderId="4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1"/>
    </xf>
    <xf numFmtId="165" fontId="4" fillId="0" borderId="4" xfId="0" applyNumberFormat="1" applyFont="1" applyBorder="1" applyAlignment="1">
      <alignment horizontal="right" vertical="center"/>
    </xf>
    <xf numFmtId="165" fontId="4" fillId="0" borderId="4" xfId="1" applyNumberFormat="1" applyFont="1" applyBorder="1" applyAlignment="1">
      <alignment vertical="center"/>
    </xf>
    <xf numFmtId="3" fontId="4" fillId="0" borderId="4" xfId="0" applyNumberFormat="1" applyFont="1" applyBorder="1" applyAlignment="1">
      <alignment horizontal="right" vertical="center"/>
    </xf>
    <xf numFmtId="165" fontId="4" fillId="0" borderId="4" xfId="1" applyNumberFormat="1" applyFont="1" applyBorder="1" applyAlignment="1">
      <alignment horizontal="right" vertical="center"/>
    </xf>
    <xf numFmtId="165" fontId="4" fillId="2" borderId="4" xfId="1" applyNumberFormat="1" applyFont="1" applyFill="1" applyBorder="1" applyAlignment="1">
      <alignment vertical="center"/>
    </xf>
    <xf numFmtId="171" fontId="4" fillId="0" borderId="4" xfId="1" applyNumberFormat="1" applyFont="1" applyBorder="1" applyAlignment="1">
      <alignment horizontal="right" vertical="center"/>
    </xf>
    <xf numFmtId="43" fontId="4" fillId="0" borderId="4" xfId="1" applyFont="1" applyBorder="1" applyAlignment="1">
      <alignment horizontal="right" vertical="center"/>
    </xf>
    <xf numFmtId="43" fontId="4" fillId="0" borderId="5" xfId="1" applyFont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0" xfId="0" applyFont="1" applyBorder="1"/>
    <xf numFmtId="0" fontId="2" fillId="0" borderId="0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24"/>
  <sheetViews>
    <sheetView showGridLines="0" tabSelected="1" zoomScaleNormal="100" workbookViewId="0">
      <selection activeCell="AN11" sqref="AN11"/>
    </sheetView>
  </sheetViews>
  <sheetFormatPr defaultRowHeight="15"/>
  <cols>
    <col min="1" max="1" width="23" style="1" customWidth="1"/>
    <col min="2" max="2" width="5.7109375" style="1" hidden="1" customWidth="1"/>
    <col min="3" max="3" width="11.28515625" style="1" hidden="1" customWidth="1"/>
    <col min="4" max="4" width="6.28515625" style="1" hidden="1" customWidth="1"/>
    <col min="5" max="5" width="7.140625" style="1" hidden="1" customWidth="1"/>
    <col min="6" max="6" width="11" style="1" hidden="1" customWidth="1"/>
    <col min="7" max="7" width="11.5703125" style="1" hidden="1" customWidth="1"/>
    <col min="8" max="8" width="11.7109375" style="1" hidden="1" customWidth="1"/>
    <col min="9" max="9" width="12.7109375" style="1" hidden="1" customWidth="1"/>
    <col min="10" max="10" width="7.42578125" style="1" hidden="1" customWidth="1"/>
    <col min="11" max="11" width="11" style="1" hidden="1" customWidth="1"/>
    <col min="12" max="12" width="11" style="1" customWidth="1"/>
    <col min="13" max="13" width="11.7109375" style="1" customWidth="1"/>
    <col min="14" max="14" width="11.85546875" style="1" customWidth="1"/>
    <col min="15" max="15" width="6.5703125" style="1" customWidth="1"/>
    <col min="16" max="16" width="10.85546875" style="1" customWidth="1"/>
    <col min="17" max="17" width="11.5703125" style="1" customWidth="1"/>
    <col min="18" max="18" width="11.140625" style="1" customWidth="1"/>
    <col min="19" max="19" width="11.85546875" style="1" customWidth="1"/>
    <col min="20" max="20" width="7" style="1" customWidth="1"/>
    <col min="21" max="21" width="11" style="1" customWidth="1"/>
    <col min="22" max="22" width="24.140625" style="1" customWidth="1"/>
    <col min="23" max="23" width="10.85546875" style="1" customWidth="1"/>
    <col min="24" max="24" width="10.42578125" style="1" customWidth="1"/>
    <col min="25" max="25" width="10.140625" style="1" customWidth="1"/>
    <col min="26" max="26" width="8.7109375" style="1" customWidth="1"/>
    <col min="27" max="27" width="9.42578125" style="1" customWidth="1"/>
    <col min="28" max="28" width="12.5703125" style="1" customWidth="1"/>
    <col min="29" max="29" width="11.140625" style="1" customWidth="1"/>
    <col min="30" max="30" width="12.5703125" style="1" customWidth="1"/>
    <col min="31" max="31" width="9.140625" style="1" customWidth="1"/>
    <col min="32" max="32" width="11.28515625" style="1" customWidth="1"/>
    <col min="33" max="277" width="9.140625" style="1"/>
    <col min="278" max="278" width="30.85546875" style="1" customWidth="1"/>
    <col min="279" max="283" width="17.7109375" style="1" customWidth="1"/>
    <col min="284" max="533" width="9.140625" style="1"/>
    <col min="534" max="534" width="30.85546875" style="1" customWidth="1"/>
    <col min="535" max="539" width="17.7109375" style="1" customWidth="1"/>
    <col min="540" max="789" width="9.140625" style="1"/>
    <col min="790" max="790" width="30.85546875" style="1" customWidth="1"/>
    <col min="791" max="795" width="17.7109375" style="1" customWidth="1"/>
    <col min="796" max="1045" width="9.140625" style="1"/>
    <col min="1046" max="1046" width="30.85546875" style="1" customWidth="1"/>
    <col min="1047" max="1051" width="17.7109375" style="1" customWidth="1"/>
    <col min="1052" max="1301" width="9.140625" style="1"/>
    <col min="1302" max="1302" width="30.85546875" style="1" customWidth="1"/>
    <col min="1303" max="1307" width="17.7109375" style="1" customWidth="1"/>
    <col min="1308" max="1557" width="9.140625" style="1"/>
    <col min="1558" max="1558" width="30.85546875" style="1" customWidth="1"/>
    <col min="1559" max="1563" width="17.7109375" style="1" customWidth="1"/>
    <col min="1564" max="1813" width="9.140625" style="1"/>
    <col min="1814" max="1814" width="30.85546875" style="1" customWidth="1"/>
    <col min="1815" max="1819" width="17.7109375" style="1" customWidth="1"/>
    <col min="1820" max="2069" width="9.140625" style="1"/>
    <col min="2070" max="2070" width="30.85546875" style="1" customWidth="1"/>
    <col min="2071" max="2075" width="17.7109375" style="1" customWidth="1"/>
    <col min="2076" max="2325" width="9.140625" style="1"/>
    <col min="2326" max="2326" width="30.85546875" style="1" customWidth="1"/>
    <col min="2327" max="2331" width="17.7109375" style="1" customWidth="1"/>
    <col min="2332" max="2581" width="9.140625" style="1"/>
    <col min="2582" max="2582" width="30.85546875" style="1" customWidth="1"/>
    <col min="2583" max="2587" width="17.7109375" style="1" customWidth="1"/>
    <col min="2588" max="2837" width="9.140625" style="1"/>
    <col min="2838" max="2838" width="30.85546875" style="1" customWidth="1"/>
    <col min="2839" max="2843" width="17.7109375" style="1" customWidth="1"/>
    <col min="2844" max="3093" width="9.140625" style="1"/>
    <col min="3094" max="3094" width="30.85546875" style="1" customWidth="1"/>
    <col min="3095" max="3099" width="17.7109375" style="1" customWidth="1"/>
    <col min="3100" max="3349" width="9.140625" style="1"/>
    <col min="3350" max="3350" width="30.85546875" style="1" customWidth="1"/>
    <col min="3351" max="3355" width="17.7109375" style="1" customWidth="1"/>
    <col min="3356" max="3605" width="9.140625" style="1"/>
    <col min="3606" max="3606" width="30.85546875" style="1" customWidth="1"/>
    <col min="3607" max="3611" width="17.7109375" style="1" customWidth="1"/>
    <col min="3612" max="3861" width="9.140625" style="1"/>
    <col min="3862" max="3862" width="30.85546875" style="1" customWidth="1"/>
    <col min="3863" max="3867" width="17.7109375" style="1" customWidth="1"/>
    <col min="3868" max="4117" width="9.140625" style="1"/>
    <col min="4118" max="4118" width="30.85546875" style="1" customWidth="1"/>
    <col min="4119" max="4123" width="17.7109375" style="1" customWidth="1"/>
    <col min="4124" max="4373" width="9.140625" style="1"/>
    <col min="4374" max="4374" width="30.85546875" style="1" customWidth="1"/>
    <col min="4375" max="4379" width="17.7109375" style="1" customWidth="1"/>
    <col min="4380" max="4629" width="9.140625" style="1"/>
    <col min="4630" max="4630" width="30.85546875" style="1" customWidth="1"/>
    <col min="4631" max="4635" width="17.7109375" style="1" customWidth="1"/>
    <col min="4636" max="4885" width="9.140625" style="1"/>
    <col min="4886" max="4886" width="30.85546875" style="1" customWidth="1"/>
    <col min="4887" max="4891" width="17.7109375" style="1" customWidth="1"/>
    <col min="4892" max="5141" width="9.140625" style="1"/>
    <col min="5142" max="5142" width="30.85546875" style="1" customWidth="1"/>
    <col min="5143" max="5147" width="17.7109375" style="1" customWidth="1"/>
    <col min="5148" max="5397" width="9.140625" style="1"/>
    <col min="5398" max="5398" width="30.85546875" style="1" customWidth="1"/>
    <col min="5399" max="5403" width="17.7109375" style="1" customWidth="1"/>
    <col min="5404" max="5653" width="9.140625" style="1"/>
    <col min="5654" max="5654" width="30.85546875" style="1" customWidth="1"/>
    <col min="5655" max="5659" width="17.7109375" style="1" customWidth="1"/>
    <col min="5660" max="5909" width="9.140625" style="1"/>
    <col min="5910" max="5910" width="30.85546875" style="1" customWidth="1"/>
    <col min="5911" max="5915" width="17.7109375" style="1" customWidth="1"/>
    <col min="5916" max="6165" width="9.140625" style="1"/>
    <col min="6166" max="6166" width="30.85546875" style="1" customWidth="1"/>
    <col min="6167" max="6171" width="17.7109375" style="1" customWidth="1"/>
    <col min="6172" max="6421" width="9.140625" style="1"/>
    <col min="6422" max="6422" width="30.85546875" style="1" customWidth="1"/>
    <col min="6423" max="6427" width="17.7109375" style="1" customWidth="1"/>
    <col min="6428" max="6677" width="9.140625" style="1"/>
    <col min="6678" max="6678" width="30.85546875" style="1" customWidth="1"/>
    <col min="6679" max="6683" width="17.7109375" style="1" customWidth="1"/>
    <col min="6684" max="6933" width="9.140625" style="1"/>
    <col min="6934" max="6934" width="30.85546875" style="1" customWidth="1"/>
    <col min="6935" max="6939" width="17.7109375" style="1" customWidth="1"/>
    <col min="6940" max="7189" width="9.140625" style="1"/>
    <col min="7190" max="7190" width="30.85546875" style="1" customWidth="1"/>
    <col min="7191" max="7195" width="17.7109375" style="1" customWidth="1"/>
    <col min="7196" max="7445" width="9.140625" style="1"/>
    <col min="7446" max="7446" width="30.85546875" style="1" customWidth="1"/>
    <col min="7447" max="7451" width="17.7109375" style="1" customWidth="1"/>
    <col min="7452" max="7701" width="9.140625" style="1"/>
    <col min="7702" max="7702" width="30.85546875" style="1" customWidth="1"/>
    <col min="7703" max="7707" width="17.7109375" style="1" customWidth="1"/>
    <col min="7708" max="7957" width="9.140625" style="1"/>
    <col min="7958" max="7958" width="30.85546875" style="1" customWidth="1"/>
    <col min="7959" max="7963" width="17.7109375" style="1" customWidth="1"/>
    <col min="7964" max="8213" width="9.140625" style="1"/>
    <col min="8214" max="8214" width="30.85546875" style="1" customWidth="1"/>
    <col min="8215" max="8219" width="17.7109375" style="1" customWidth="1"/>
    <col min="8220" max="8469" width="9.140625" style="1"/>
    <col min="8470" max="8470" width="30.85546875" style="1" customWidth="1"/>
    <col min="8471" max="8475" width="17.7109375" style="1" customWidth="1"/>
    <col min="8476" max="8725" width="9.140625" style="1"/>
    <col min="8726" max="8726" width="30.85546875" style="1" customWidth="1"/>
    <col min="8727" max="8731" width="17.7109375" style="1" customWidth="1"/>
    <col min="8732" max="8981" width="9.140625" style="1"/>
    <col min="8982" max="8982" width="30.85546875" style="1" customWidth="1"/>
    <col min="8983" max="8987" width="17.7109375" style="1" customWidth="1"/>
    <col min="8988" max="9237" width="9.140625" style="1"/>
    <col min="9238" max="9238" width="30.85546875" style="1" customWidth="1"/>
    <col min="9239" max="9243" width="17.7109375" style="1" customWidth="1"/>
    <col min="9244" max="9493" width="9.140625" style="1"/>
    <col min="9494" max="9494" width="30.85546875" style="1" customWidth="1"/>
    <col min="9495" max="9499" width="17.7109375" style="1" customWidth="1"/>
    <col min="9500" max="9749" width="9.140625" style="1"/>
    <col min="9750" max="9750" width="30.85546875" style="1" customWidth="1"/>
    <col min="9751" max="9755" width="17.7109375" style="1" customWidth="1"/>
    <col min="9756" max="10005" width="9.140625" style="1"/>
    <col min="10006" max="10006" width="30.85546875" style="1" customWidth="1"/>
    <col min="10007" max="10011" width="17.7109375" style="1" customWidth="1"/>
    <col min="10012" max="10261" width="9.140625" style="1"/>
    <col min="10262" max="10262" width="30.85546875" style="1" customWidth="1"/>
    <col min="10263" max="10267" width="17.7109375" style="1" customWidth="1"/>
    <col min="10268" max="10517" width="9.140625" style="1"/>
    <col min="10518" max="10518" width="30.85546875" style="1" customWidth="1"/>
    <col min="10519" max="10523" width="17.7109375" style="1" customWidth="1"/>
    <col min="10524" max="10773" width="9.140625" style="1"/>
    <col min="10774" max="10774" width="30.85546875" style="1" customWidth="1"/>
    <col min="10775" max="10779" width="17.7109375" style="1" customWidth="1"/>
    <col min="10780" max="11029" width="9.140625" style="1"/>
    <col min="11030" max="11030" width="30.85546875" style="1" customWidth="1"/>
    <col min="11031" max="11035" width="17.7109375" style="1" customWidth="1"/>
    <col min="11036" max="11285" width="9.140625" style="1"/>
    <col min="11286" max="11286" width="30.85546875" style="1" customWidth="1"/>
    <col min="11287" max="11291" width="17.7109375" style="1" customWidth="1"/>
    <col min="11292" max="11541" width="9.140625" style="1"/>
    <col min="11542" max="11542" width="30.85546875" style="1" customWidth="1"/>
    <col min="11543" max="11547" width="17.7109375" style="1" customWidth="1"/>
    <col min="11548" max="11797" width="9.140625" style="1"/>
    <col min="11798" max="11798" width="30.85546875" style="1" customWidth="1"/>
    <col min="11799" max="11803" width="17.7109375" style="1" customWidth="1"/>
    <col min="11804" max="12053" width="9.140625" style="1"/>
    <col min="12054" max="12054" width="30.85546875" style="1" customWidth="1"/>
    <col min="12055" max="12059" width="17.7109375" style="1" customWidth="1"/>
    <col min="12060" max="12309" width="9.140625" style="1"/>
    <col min="12310" max="12310" width="30.85546875" style="1" customWidth="1"/>
    <col min="12311" max="12315" width="17.7109375" style="1" customWidth="1"/>
    <col min="12316" max="12565" width="9.140625" style="1"/>
    <col min="12566" max="12566" width="30.85546875" style="1" customWidth="1"/>
    <col min="12567" max="12571" width="17.7109375" style="1" customWidth="1"/>
    <col min="12572" max="12821" width="9.140625" style="1"/>
    <col min="12822" max="12822" width="30.85546875" style="1" customWidth="1"/>
    <col min="12823" max="12827" width="17.7109375" style="1" customWidth="1"/>
    <col min="12828" max="13077" width="9.140625" style="1"/>
    <col min="13078" max="13078" width="30.85546875" style="1" customWidth="1"/>
    <col min="13079" max="13083" width="17.7109375" style="1" customWidth="1"/>
    <col min="13084" max="13333" width="9.140625" style="1"/>
    <col min="13334" max="13334" width="30.85546875" style="1" customWidth="1"/>
    <col min="13335" max="13339" width="17.7109375" style="1" customWidth="1"/>
    <col min="13340" max="13589" width="9.140625" style="1"/>
    <col min="13590" max="13590" width="30.85546875" style="1" customWidth="1"/>
    <col min="13591" max="13595" width="17.7109375" style="1" customWidth="1"/>
    <col min="13596" max="13845" width="9.140625" style="1"/>
    <col min="13846" max="13846" width="30.85546875" style="1" customWidth="1"/>
    <col min="13847" max="13851" width="17.7109375" style="1" customWidth="1"/>
    <col min="13852" max="14101" width="9.140625" style="1"/>
    <col min="14102" max="14102" width="30.85546875" style="1" customWidth="1"/>
    <col min="14103" max="14107" width="17.7109375" style="1" customWidth="1"/>
    <col min="14108" max="14357" width="9.140625" style="1"/>
    <col min="14358" max="14358" width="30.85546875" style="1" customWidth="1"/>
    <col min="14359" max="14363" width="17.7109375" style="1" customWidth="1"/>
    <col min="14364" max="14613" width="9.140625" style="1"/>
    <col min="14614" max="14614" width="30.85546875" style="1" customWidth="1"/>
    <col min="14615" max="14619" width="17.7109375" style="1" customWidth="1"/>
    <col min="14620" max="14869" width="9.140625" style="1"/>
    <col min="14870" max="14870" width="30.85546875" style="1" customWidth="1"/>
    <col min="14871" max="14875" width="17.7109375" style="1" customWidth="1"/>
    <col min="14876" max="15125" width="9.140625" style="1"/>
    <col min="15126" max="15126" width="30.85546875" style="1" customWidth="1"/>
    <col min="15127" max="15131" width="17.7109375" style="1" customWidth="1"/>
    <col min="15132" max="15381" width="9.140625" style="1"/>
    <col min="15382" max="15382" width="30.85546875" style="1" customWidth="1"/>
    <col min="15383" max="15387" width="17.7109375" style="1" customWidth="1"/>
    <col min="15388" max="15637" width="9.140625" style="1"/>
    <col min="15638" max="15638" width="30.85546875" style="1" customWidth="1"/>
    <col min="15639" max="15643" width="17.7109375" style="1" customWidth="1"/>
    <col min="15644" max="15893" width="9.140625" style="1"/>
    <col min="15894" max="15894" width="30.85546875" style="1" customWidth="1"/>
    <col min="15895" max="15899" width="17.7109375" style="1" customWidth="1"/>
    <col min="15900" max="16149" width="9.140625" style="1"/>
    <col min="16150" max="16150" width="30.85546875" style="1" customWidth="1"/>
    <col min="16151" max="16155" width="17.7109375" style="1" customWidth="1"/>
    <col min="16156" max="16384" width="9.140625" style="1"/>
  </cols>
  <sheetData>
    <row r="1" spans="1:42" ht="25.5" customHeight="1" thickBot="1">
      <c r="A1" s="63" t="s">
        <v>19</v>
      </c>
      <c r="B1" s="63"/>
      <c r="C1" s="63"/>
      <c r="D1" s="63"/>
      <c r="E1" s="63"/>
      <c r="F1" s="63"/>
      <c r="G1" s="63"/>
      <c r="H1" s="63"/>
      <c r="I1" s="63"/>
      <c r="J1" s="64"/>
      <c r="K1" s="64"/>
      <c r="L1" s="64"/>
      <c r="M1" s="64"/>
      <c r="N1" s="64"/>
      <c r="O1" s="64"/>
      <c r="P1" s="64"/>
      <c r="Q1" s="64"/>
      <c r="R1" s="65"/>
      <c r="S1" s="65"/>
      <c r="T1" s="65"/>
      <c r="U1" s="65"/>
      <c r="V1" s="63" t="s">
        <v>19</v>
      </c>
      <c r="W1" s="63"/>
      <c r="X1" s="63"/>
      <c r="Y1" s="63"/>
      <c r="Z1" s="63"/>
      <c r="AA1" s="63"/>
      <c r="AB1" s="63"/>
      <c r="AC1" s="63"/>
      <c r="AD1" s="63"/>
      <c r="AE1" s="64"/>
      <c r="AF1" s="64"/>
      <c r="AG1" s="81"/>
      <c r="AH1" s="81"/>
      <c r="AI1" s="81"/>
      <c r="AJ1" s="81"/>
      <c r="AK1" s="81"/>
      <c r="AL1" s="81"/>
      <c r="AM1" s="82"/>
      <c r="AN1" s="82"/>
      <c r="AO1" s="82"/>
      <c r="AP1" s="82"/>
    </row>
    <row r="2" spans="1:42" ht="18.75" customHeight="1">
      <c r="A2" s="78" t="s">
        <v>3</v>
      </c>
      <c r="B2" s="80">
        <v>2016</v>
      </c>
      <c r="C2" s="80"/>
      <c r="D2" s="80"/>
      <c r="E2" s="80"/>
      <c r="F2" s="80"/>
      <c r="G2" s="80">
        <v>2017</v>
      </c>
      <c r="H2" s="80"/>
      <c r="I2" s="80"/>
      <c r="J2" s="80"/>
      <c r="K2" s="80"/>
      <c r="L2" s="77">
        <v>2018</v>
      </c>
      <c r="M2" s="77"/>
      <c r="N2" s="77"/>
      <c r="O2" s="77"/>
      <c r="P2" s="77"/>
      <c r="Q2" s="77">
        <v>2019</v>
      </c>
      <c r="R2" s="77"/>
      <c r="S2" s="77"/>
      <c r="T2" s="77"/>
      <c r="U2" s="77"/>
      <c r="V2" s="78" t="s">
        <v>3</v>
      </c>
      <c r="W2" s="77">
        <v>2020</v>
      </c>
      <c r="X2" s="77"/>
      <c r="Y2" s="77"/>
      <c r="Z2" s="77"/>
      <c r="AA2" s="77"/>
      <c r="AB2" s="77">
        <v>2021</v>
      </c>
      <c r="AC2" s="77"/>
      <c r="AD2" s="77"/>
      <c r="AE2" s="77"/>
      <c r="AF2" s="77"/>
      <c r="AG2" s="57"/>
    </row>
    <row r="3" spans="1:42" ht="27" customHeight="1">
      <c r="A3" s="79"/>
      <c r="B3" s="66" t="s">
        <v>10</v>
      </c>
      <c r="C3" s="66" t="s">
        <v>11</v>
      </c>
      <c r="D3" s="66" t="s">
        <v>12</v>
      </c>
      <c r="E3" s="67" t="s">
        <v>9</v>
      </c>
      <c r="F3" s="66" t="s">
        <v>13</v>
      </c>
      <c r="G3" s="66" t="s">
        <v>10</v>
      </c>
      <c r="H3" s="66" t="s">
        <v>11</v>
      </c>
      <c r="I3" s="66" t="s">
        <v>12</v>
      </c>
      <c r="J3" s="67" t="s">
        <v>9</v>
      </c>
      <c r="K3" s="66" t="s">
        <v>13</v>
      </c>
      <c r="L3" s="66" t="s">
        <v>10</v>
      </c>
      <c r="M3" s="66" t="s">
        <v>11</v>
      </c>
      <c r="N3" s="66" t="s">
        <v>12</v>
      </c>
      <c r="O3" s="67" t="s">
        <v>9</v>
      </c>
      <c r="P3" s="66" t="s">
        <v>13</v>
      </c>
      <c r="Q3" s="66" t="s">
        <v>10</v>
      </c>
      <c r="R3" s="66" t="s">
        <v>11</v>
      </c>
      <c r="S3" s="66" t="s">
        <v>12</v>
      </c>
      <c r="T3" s="67" t="s">
        <v>9</v>
      </c>
      <c r="U3" s="66" t="s">
        <v>13</v>
      </c>
      <c r="V3" s="79"/>
      <c r="W3" s="66" t="s">
        <v>10</v>
      </c>
      <c r="X3" s="66" t="s">
        <v>11</v>
      </c>
      <c r="Y3" s="66" t="s">
        <v>12</v>
      </c>
      <c r="Z3" s="67" t="s">
        <v>9</v>
      </c>
      <c r="AA3" s="66" t="s">
        <v>13</v>
      </c>
      <c r="AB3" s="66" t="s">
        <v>10</v>
      </c>
      <c r="AC3" s="66" t="s">
        <v>11</v>
      </c>
      <c r="AD3" s="66" t="s">
        <v>12</v>
      </c>
      <c r="AE3" s="67" t="s">
        <v>9</v>
      </c>
      <c r="AF3" s="66" t="s">
        <v>13</v>
      </c>
      <c r="AG3" s="57"/>
    </row>
    <row r="4" spans="1:42" ht="21.75" customHeight="1">
      <c r="A4" s="4" t="s">
        <v>0</v>
      </c>
      <c r="B4" s="5"/>
      <c r="C4" s="6"/>
      <c r="D4" s="4"/>
      <c r="E4" s="4"/>
      <c r="F4" s="3"/>
      <c r="G4" s="7"/>
      <c r="H4" s="8"/>
      <c r="I4" s="4"/>
      <c r="J4" s="4"/>
      <c r="K4" s="9"/>
      <c r="L4" s="7"/>
      <c r="M4" s="8"/>
      <c r="N4" s="4"/>
      <c r="O4" s="4"/>
      <c r="P4" s="9"/>
      <c r="Q4" s="7"/>
      <c r="R4" s="8"/>
      <c r="S4" s="4"/>
      <c r="T4" s="4"/>
      <c r="U4" s="9"/>
      <c r="V4" s="4" t="s">
        <v>0</v>
      </c>
      <c r="W4" s="7"/>
      <c r="X4" s="8"/>
      <c r="Y4" s="10"/>
      <c r="Z4" s="10"/>
      <c r="AA4" s="11"/>
      <c r="AB4" s="7"/>
      <c r="AC4" s="8"/>
      <c r="AD4" s="10"/>
      <c r="AE4" s="76"/>
      <c r="AF4" s="11"/>
      <c r="AG4" s="57"/>
    </row>
    <row r="5" spans="1:42" ht="21.75" customHeight="1">
      <c r="A5" s="12" t="s">
        <v>7</v>
      </c>
      <c r="B5" s="13" t="s">
        <v>6</v>
      </c>
      <c r="C5" s="14">
        <f>C6+C7</f>
        <v>595371</v>
      </c>
      <c r="D5" s="15" t="s">
        <v>6</v>
      </c>
      <c r="E5" s="15" t="s">
        <v>6</v>
      </c>
      <c r="F5" s="15">
        <f>F6+F7</f>
        <v>96558</v>
      </c>
      <c r="G5" s="14">
        <f>G6+G7</f>
        <v>1684482</v>
      </c>
      <c r="H5" s="14">
        <f t="shared" ref="H5" si="0">H6+H7</f>
        <v>595611</v>
      </c>
      <c r="I5" s="15">
        <f>I6+I7</f>
        <v>526637</v>
      </c>
      <c r="J5" s="15" t="s">
        <v>6</v>
      </c>
      <c r="K5" s="15">
        <f t="shared" ref="K5" si="1">K6+K7</f>
        <v>125941</v>
      </c>
      <c r="L5" s="14">
        <f t="shared" ref="L5:M5" si="2">L6+L7</f>
        <v>2109646</v>
      </c>
      <c r="M5" s="14">
        <f t="shared" si="2"/>
        <v>621556</v>
      </c>
      <c r="N5" s="15">
        <f>N6+N7</f>
        <v>912622</v>
      </c>
      <c r="O5" s="15" t="s">
        <v>6</v>
      </c>
      <c r="P5" s="15">
        <f t="shared" ref="P5" si="3">P6+P7</f>
        <v>142258</v>
      </c>
      <c r="Q5" s="14">
        <f t="shared" ref="Q5:R5" si="4">Q6+Q7</f>
        <v>2233396</v>
      </c>
      <c r="R5" s="14">
        <f t="shared" si="4"/>
        <v>588075</v>
      </c>
      <c r="S5" s="15">
        <f>S6+S7</f>
        <v>945319</v>
      </c>
      <c r="T5" s="15" t="s">
        <v>6</v>
      </c>
      <c r="U5" s="15">
        <f t="shared" ref="U5" si="5">U6+U7</f>
        <v>154359</v>
      </c>
      <c r="V5" s="12" t="s">
        <v>7</v>
      </c>
      <c r="W5" s="14">
        <f t="shared" ref="W5:X5" si="6">W6+W7</f>
        <v>1528863</v>
      </c>
      <c r="X5" s="14">
        <f t="shared" si="6"/>
        <v>385701</v>
      </c>
      <c r="Y5" s="14">
        <f>Y6+Y7</f>
        <v>676074</v>
      </c>
      <c r="Z5" s="15" t="s">
        <v>6</v>
      </c>
      <c r="AA5" s="16">
        <f>AA6+AA7</f>
        <v>110961</v>
      </c>
      <c r="AB5" s="14">
        <v>1015524</v>
      </c>
      <c r="AC5" s="14">
        <f>AC6+AC7</f>
        <v>305048</v>
      </c>
      <c r="AD5" s="10">
        <f>AD6+AD7</f>
        <v>19742</v>
      </c>
      <c r="AE5" s="15" t="s">
        <v>6</v>
      </c>
      <c r="AF5" s="16">
        <f>AF6+AF7</f>
        <v>84209</v>
      </c>
      <c r="AG5" s="57"/>
    </row>
    <row r="6" spans="1:42" ht="21.75" customHeight="1">
      <c r="A6" s="17" t="s">
        <v>4</v>
      </c>
      <c r="B6" s="18" t="s">
        <v>6</v>
      </c>
      <c r="C6" s="19">
        <v>400832</v>
      </c>
      <c r="D6" s="15" t="s">
        <v>6</v>
      </c>
      <c r="E6" s="15" t="s">
        <v>6</v>
      </c>
      <c r="F6" s="19">
        <v>58971</v>
      </c>
      <c r="G6" s="19">
        <v>1038031</v>
      </c>
      <c r="H6" s="19">
        <v>390661</v>
      </c>
      <c r="I6" s="20">
        <v>328637</v>
      </c>
      <c r="J6" s="21" t="s">
        <v>6</v>
      </c>
      <c r="K6" s="19">
        <v>73567</v>
      </c>
      <c r="L6" s="19">
        <v>1275706</v>
      </c>
      <c r="M6" s="19">
        <v>397551</v>
      </c>
      <c r="N6" s="20">
        <v>565602</v>
      </c>
      <c r="O6" s="15" t="s">
        <v>6</v>
      </c>
      <c r="P6" s="19">
        <v>79414</v>
      </c>
      <c r="Q6" s="19">
        <v>1266319</v>
      </c>
      <c r="R6" s="19">
        <v>384246</v>
      </c>
      <c r="S6" s="20">
        <v>592404</v>
      </c>
      <c r="T6" s="21" t="s">
        <v>6</v>
      </c>
      <c r="U6" s="19">
        <v>83181</v>
      </c>
      <c r="V6" s="17" t="s">
        <v>4</v>
      </c>
      <c r="W6" s="19">
        <v>832351</v>
      </c>
      <c r="X6" s="19">
        <v>237731</v>
      </c>
      <c r="Y6" s="20">
        <v>400737</v>
      </c>
      <c r="Z6" s="21" t="s">
        <v>6</v>
      </c>
      <c r="AA6" s="22">
        <v>54682</v>
      </c>
      <c r="AB6" s="19">
        <v>512675</v>
      </c>
      <c r="AC6" s="19">
        <v>174618</v>
      </c>
      <c r="AD6" s="23">
        <v>9872</v>
      </c>
      <c r="AE6" s="21" t="s">
        <v>6</v>
      </c>
      <c r="AF6" s="22">
        <v>43188</v>
      </c>
      <c r="AG6" s="57"/>
    </row>
    <row r="7" spans="1:42" ht="21.75" customHeight="1">
      <c r="A7" s="17" t="s">
        <v>5</v>
      </c>
      <c r="B7" s="18" t="s">
        <v>6</v>
      </c>
      <c r="C7" s="19">
        <v>194539</v>
      </c>
      <c r="D7" s="15" t="s">
        <v>6</v>
      </c>
      <c r="E7" s="15" t="s">
        <v>6</v>
      </c>
      <c r="F7" s="19">
        <v>37587</v>
      </c>
      <c r="G7" s="19">
        <v>646451</v>
      </c>
      <c r="H7" s="19">
        <v>204950</v>
      </c>
      <c r="I7" s="20">
        <v>198000</v>
      </c>
      <c r="J7" s="21" t="s">
        <v>6</v>
      </c>
      <c r="K7" s="19">
        <v>52374</v>
      </c>
      <c r="L7" s="19">
        <v>833940</v>
      </c>
      <c r="M7" s="19">
        <v>224005</v>
      </c>
      <c r="N7" s="20">
        <v>347020</v>
      </c>
      <c r="O7" s="15" t="s">
        <v>6</v>
      </c>
      <c r="P7" s="19">
        <v>62844</v>
      </c>
      <c r="Q7" s="19">
        <v>967077</v>
      </c>
      <c r="R7" s="19">
        <v>203829</v>
      </c>
      <c r="S7" s="20">
        <v>352915</v>
      </c>
      <c r="T7" s="21" t="s">
        <v>6</v>
      </c>
      <c r="U7" s="19">
        <v>71178</v>
      </c>
      <c r="V7" s="17" t="s">
        <v>5</v>
      </c>
      <c r="W7" s="19">
        <v>696512</v>
      </c>
      <c r="X7" s="19">
        <v>147970</v>
      </c>
      <c r="Y7" s="20">
        <v>275337</v>
      </c>
      <c r="Z7" s="21" t="s">
        <v>6</v>
      </c>
      <c r="AA7" s="22">
        <v>56279</v>
      </c>
      <c r="AB7" s="19">
        <v>502849</v>
      </c>
      <c r="AC7" s="19">
        <v>130430</v>
      </c>
      <c r="AD7" s="23">
        <v>9870</v>
      </c>
      <c r="AE7" s="21" t="s">
        <v>6</v>
      </c>
      <c r="AF7" s="22">
        <v>41021</v>
      </c>
      <c r="AG7" s="57"/>
    </row>
    <row r="8" spans="1:42" ht="29.25" customHeight="1">
      <c r="A8" s="24" t="s">
        <v>15</v>
      </c>
      <c r="B8" s="25" t="s">
        <v>6</v>
      </c>
      <c r="C8" s="26">
        <f>C9+C10</f>
        <v>41107.707069210002</v>
      </c>
      <c r="D8" s="15" t="s">
        <v>6</v>
      </c>
      <c r="E8" s="15" t="s">
        <v>6</v>
      </c>
      <c r="F8" s="26">
        <f>F9+F10</f>
        <v>20111.135585</v>
      </c>
      <c r="G8" s="26">
        <f>G9+G10</f>
        <v>71395.286449599997</v>
      </c>
      <c r="H8" s="26">
        <f t="shared" ref="H8" si="7">H9+H10</f>
        <v>42789.327705889998</v>
      </c>
      <c r="I8" s="27">
        <f>10000000000/1000000</f>
        <v>10000</v>
      </c>
      <c r="J8" s="15" t="s">
        <v>6</v>
      </c>
      <c r="K8" s="26">
        <f t="shared" ref="K8" si="8">K9+K10</f>
        <v>37907.164124000003</v>
      </c>
      <c r="L8" s="26">
        <f t="shared" ref="L8:M8" si="9">L9+L10</f>
        <v>97021.209312019986</v>
      </c>
      <c r="M8" s="26">
        <f t="shared" si="9"/>
        <v>46903.189229880001</v>
      </c>
      <c r="N8" s="27">
        <v>140000</v>
      </c>
      <c r="O8" s="15" t="s">
        <v>6</v>
      </c>
      <c r="P8" s="26">
        <f t="shared" ref="P8" si="10">P9+P10</f>
        <v>57586.154223000005</v>
      </c>
      <c r="Q8" s="26">
        <f t="shared" ref="Q8:R8" si="11">Q9+Q10</f>
        <v>106547.89795431</v>
      </c>
      <c r="R8" s="26">
        <f t="shared" si="11"/>
        <v>45307.813044729999</v>
      </c>
      <c r="S8" s="27">
        <f>S9+S10</f>
        <v>70000.000001751992</v>
      </c>
      <c r="T8" s="15" t="s">
        <v>6</v>
      </c>
      <c r="U8" s="26">
        <f t="shared" ref="U8" si="12">U9+U10</f>
        <v>42604.995469000001</v>
      </c>
      <c r="V8" s="24" t="s">
        <v>15</v>
      </c>
      <c r="W8" s="26">
        <f t="shared" ref="W8:X8" si="13">W9+W10</f>
        <v>80075.561534510009</v>
      </c>
      <c r="X8" s="26">
        <f t="shared" si="13"/>
        <v>32776.469992309998</v>
      </c>
      <c r="Y8" s="26">
        <f>Y9+Y10</f>
        <v>54000.000001695997</v>
      </c>
      <c r="Z8" s="15" t="s">
        <v>6</v>
      </c>
      <c r="AA8" s="28">
        <f>AA9+AA10</f>
        <v>17470.294062959998</v>
      </c>
      <c r="AB8" s="26">
        <v>70457.642132569919</v>
      </c>
      <c r="AC8" s="26">
        <f>AC9+AC10</f>
        <v>26665.07184425</v>
      </c>
      <c r="AD8" s="10">
        <f>AD9+AD10</f>
        <v>29636.9279584</v>
      </c>
      <c r="AE8" s="15" t="s">
        <v>6</v>
      </c>
      <c r="AF8" s="28">
        <f>AF9+AF10</f>
        <v>10883.592584649999</v>
      </c>
      <c r="AG8" s="57"/>
    </row>
    <row r="9" spans="1:42" ht="21.75" customHeight="1">
      <c r="A9" s="17" t="s">
        <v>14</v>
      </c>
      <c r="B9" s="29" t="s">
        <v>6</v>
      </c>
      <c r="C9" s="30">
        <f>27009367397.88/1000000</f>
        <v>27009.36739788</v>
      </c>
      <c r="D9" s="15" t="s">
        <v>6</v>
      </c>
      <c r="E9" s="15" t="s">
        <v>6</v>
      </c>
      <c r="F9" s="30">
        <f>10002190036/1000000</f>
        <v>10002.190036</v>
      </c>
      <c r="G9" s="30">
        <f>49791196746.27/1000000</f>
        <v>49791.196746269998</v>
      </c>
      <c r="H9" s="30">
        <f>28540802147.81/1000000</f>
        <v>28540.802147810002</v>
      </c>
      <c r="I9" s="31">
        <f>23000000000.031 /1000000</f>
        <v>23000.000000030999</v>
      </c>
      <c r="J9" s="21" t="s">
        <v>6</v>
      </c>
      <c r="K9" s="30">
        <f>19026240557/1000000</f>
        <v>19026.240557000001</v>
      </c>
      <c r="L9" s="30">
        <f>66194963733.47/1000000</f>
        <v>66194.963733469995</v>
      </c>
      <c r="M9" s="30">
        <f>31118139119.04/1000000</f>
        <v>31118.139119040003</v>
      </c>
      <c r="N9" s="31">
        <f>38000000000.873/1000000</f>
        <v>38000.000000872998</v>
      </c>
      <c r="O9" s="15" t="s">
        <v>6</v>
      </c>
      <c r="P9" s="30">
        <f>28763572270/1000000</f>
        <v>28763.572270000001</v>
      </c>
      <c r="Q9" s="30">
        <f>71086138817.53/1000000</f>
        <v>71086.138817529994</v>
      </c>
      <c r="R9" s="30">
        <f>29585729795.44/1000000</f>
        <v>29585.729795439998</v>
      </c>
      <c r="S9" s="31">
        <f>35000000000.873/1000000</f>
        <v>35000.000000872998</v>
      </c>
      <c r="T9" s="21" t="s">
        <v>6</v>
      </c>
      <c r="U9" s="30">
        <f>21291003204/1000000</f>
        <v>21291.003204000001</v>
      </c>
      <c r="V9" s="17" t="s">
        <v>14</v>
      </c>
      <c r="W9" s="30">
        <f>53069073140.79/1000000</f>
        <v>53069.073140790002</v>
      </c>
      <c r="X9" s="30">
        <f>19973687770.94/1000000</f>
        <v>19973.68777094</v>
      </c>
      <c r="Y9" s="30">
        <f>27000000000.848/1000000</f>
        <v>27000.000000847998</v>
      </c>
      <c r="Z9" s="21" t="s">
        <v>6</v>
      </c>
      <c r="AA9" s="32">
        <f>8764151214.37/1000000</f>
        <v>8764.1512143700002</v>
      </c>
      <c r="AB9" s="30">
        <v>37623.560781569955</v>
      </c>
      <c r="AC9" s="30">
        <f>15610758902.75/1000000</f>
        <v>15610.75890275</v>
      </c>
      <c r="AD9" s="7">
        <f>14629388205.15/1000000</f>
        <v>14629.38820515</v>
      </c>
      <c r="AE9" s="21" t="s">
        <v>6</v>
      </c>
      <c r="AF9" s="32">
        <f>5475915121.73/1000000</f>
        <v>5475.9151217299996</v>
      </c>
      <c r="AG9" s="57"/>
    </row>
    <row r="10" spans="1:42" ht="21.75" customHeight="1">
      <c r="A10" s="17" t="s">
        <v>16</v>
      </c>
      <c r="B10" s="29" t="s">
        <v>6</v>
      </c>
      <c r="C10" s="30">
        <f>14098339671.33/1000000</f>
        <v>14098.339671330001</v>
      </c>
      <c r="D10" s="15" t="s">
        <v>6</v>
      </c>
      <c r="E10" s="15" t="s">
        <v>6</v>
      </c>
      <c r="F10" s="30">
        <f>10108945549/1000000</f>
        <v>10108.945549</v>
      </c>
      <c r="G10" s="30">
        <f>21604089703.33/1000000</f>
        <v>21604.089703330003</v>
      </c>
      <c r="H10" s="30">
        <f>14248525558.08/1000000</f>
        <v>14248.52555808</v>
      </c>
      <c r="I10" s="31">
        <f>23000000000.029/1000000</f>
        <v>23000.000000028998</v>
      </c>
      <c r="J10" s="21" t="s">
        <v>6</v>
      </c>
      <c r="K10" s="30">
        <f>18880923567/1000000</f>
        <v>18880.923567000002</v>
      </c>
      <c r="L10" s="30">
        <f>30826245578.55/1000000</f>
        <v>30826.245578549999</v>
      </c>
      <c r="M10" s="30">
        <f>15785050110.84/1000000</f>
        <v>15785.05011084</v>
      </c>
      <c r="N10" s="31">
        <f>38000000000.879/1000000</f>
        <v>38000.000000879001</v>
      </c>
      <c r="O10" s="15" t="s">
        <v>6</v>
      </c>
      <c r="P10" s="30">
        <f>28822581953/1000000</f>
        <v>28822.581953000001</v>
      </c>
      <c r="Q10" s="30">
        <f>35461759136.78/1000000</f>
        <v>35461.759136779998</v>
      </c>
      <c r="R10" s="30">
        <f>15722083249.29/1000000</f>
        <v>15722.083249290001</v>
      </c>
      <c r="S10" s="31">
        <f>35000000000.879/1000000</f>
        <v>35000.000000879001</v>
      </c>
      <c r="T10" s="21" t="s">
        <v>6</v>
      </c>
      <c r="U10" s="30">
        <f>21313992265/1000000</f>
        <v>21313.992265000001</v>
      </c>
      <c r="V10" s="17" t="s">
        <v>16</v>
      </c>
      <c r="W10" s="30">
        <f>27006488393.72/1000000</f>
        <v>27006.488393720003</v>
      </c>
      <c r="X10" s="30">
        <f>12802782221.37/1000000</f>
        <v>12802.78222137</v>
      </c>
      <c r="Y10" s="30">
        <f>27000000000.848/1000000</f>
        <v>27000.000000847998</v>
      </c>
      <c r="Z10" s="21" t="s">
        <v>6</v>
      </c>
      <c r="AA10" s="32">
        <f>8706142848.59/1000000</f>
        <v>8706.1428485899996</v>
      </c>
      <c r="AB10" s="30">
        <v>32834.081350999964</v>
      </c>
      <c r="AC10" s="7">
        <f>11054312941.5/1000000</f>
        <v>11054.3129415</v>
      </c>
      <c r="AD10" s="7">
        <f>15007539753.25/1000000</f>
        <v>15007.539753249999</v>
      </c>
      <c r="AE10" s="21" t="s">
        <v>6</v>
      </c>
      <c r="AF10" s="32">
        <f>5407677462.92/1000000</f>
        <v>5407.6774629199999</v>
      </c>
      <c r="AG10" s="57"/>
    </row>
    <row r="11" spans="1:42" ht="21.75" customHeight="1">
      <c r="A11" s="3" t="s">
        <v>1</v>
      </c>
      <c r="B11" s="5"/>
      <c r="C11" s="8"/>
      <c r="D11" s="15"/>
      <c r="E11" s="15"/>
      <c r="F11" s="8"/>
      <c r="G11" s="7"/>
      <c r="H11" s="8"/>
      <c r="I11" s="5"/>
      <c r="J11" s="15"/>
      <c r="K11" s="8"/>
      <c r="L11" s="7"/>
      <c r="M11" s="8"/>
      <c r="N11" s="5"/>
      <c r="O11" s="15"/>
      <c r="P11" s="8"/>
      <c r="Q11" s="7"/>
      <c r="R11" s="8"/>
      <c r="S11" s="5"/>
      <c r="T11" s="15"/>
      <c r="U11" s="8"/>
      <c r="V11" s="3" t="s">
        <v>1</v>
      </c>
      <c r="W11" s="7"/>
      <c r="X11" s="8"/>
      <c r="Y11" s="7"/>
      <c r="Z11" s="15"/>
      <c r="AA11" s="33"/>
      <c r="AB11" s="7"/>
      <c r="AC11" s="8"/>
      <c r="AD11" s="7"/>
      <c r="AE11" s="21" t="s">
        <v>6</v>
      </c>
      <c r="AF11" s="33"/>
      <c r="AG11" s="57"/>
    </row>
    <row r="12" spans="1:42" ht="21.75" customHeight="1">
      <c r="A12" s="12" t="s">
        <v>7</v>
      </c>
      <c r="B12" s="15" t="s">
        <v>6</v>
      </c>
      <c r="C12" s="14">
        <f>C13+C14</f>
        <v>988706</v>
      </c>
      <c r="D12" s="15" t="s">
        <v>6</v>
      </c>
      <c r="E12" s="15" t="s">
        <v>6</v>
      </c>
      <c r="F12" s="14">
        <v>209823</v>
      </c>
      <c r="G12" s="14">
        <f>G13+G14</f>
        <v>4000514</v>
      </c>
      <c r="H12" s="14">
        <f t="shared" ref="H12" si="14">H13+H14</f>
        <v>1227620</v>
      </c>
      <c r="I12" s="15">
        <v>213471</v>
      </c>
      <c r="J12" s="15" t="s">
        <v>6</v>
      </c>
      <c r="K12" s="14">
        <v>220353</v>
      </c>
      <c r="L12" s="14">
        <f t="shared" ref="L12:M12" si="15">L13+L14</f>
        <v>3941836</v>
      </c>
      <c r="M12" s="14">
        <f t="shared" si="15"/>
        <v>1338100</v>
      </c>
      <c r="N12" s="15">
        <v>478812</v>
      </c>
      <c r="O12" s="15" t="s">
        <v>6</v>
      </c>
      <c r="P12" s="14">
        <v>280065</v>
      </c>
      <c r="Q12" s="14">
        <f t="shared" ref="Q12:R12" si="16">Q13+Q14</f>
        <v>5416670</v>
      </c>
      <c r="R12" s="14">
        <f t="shared" si="16"/>
        <v>1499114</v>
      </c>
      <c r="S12" s="15">
        <v>546776</v>
      </c>
      <c r="T12" s="15" t="s">
        <v>6</v>
      </c>
      <c r="U12" s="14">
        <v>346628</v>
      </c>
      <c r="V12" s="12" t="s">
        <v>7</v>
      </c>
      <c r="W12" s="14">
        <f t="shared" ref="W12:X12" si="17">W13+W14</f>
        <v>4362439</v>
      </c>
      <c r="X12" s="14">
        <f t="shared" si="17"/>
        <v>1278217</v>
      </c>
      <c r="Y12" s="14">
        <v>433845</v>
      </c>
      <c r="Z12" s="15" t="s">
        <v>6</v>
      </c>
      <c r="AA12" s="34">
        <f>AA13+AA14</f>
        <v>77037</v>
      </c>
      <c r="AB12" s="14">
        <v>2486083</v>
      </c>
      <c r="AC12" s="14">
        <f>SUM(AC13:AC14)</f>
        <v>787162</v>
      </c>
      <c r="AD12" s="10">
        <f>AD13+AD14</f>
        <v>260359</v>
      </c>
      <c r="AE12" s="15" t="s">
        <v>6</v>
      </c>
      <c r="AF12" s="34">
        <f>AF13+AF14</f>
        <v>157004</v>
      </c>
      <c r="AG12" s="57"/>
    </row>
    <row r="13" spans="1:42" ht="21.75" customHeight="1">
      <c r="A13" s="17" t="s">
        <v>4</v>
      </c>
      <c r="B13" s="21" t="s">
        <v>6</v>
      </c>
      <c r="C13" s="19">
        <v>0</v>
      </c>
      <c r="D13" s="15" t="s">
        <v>6</v>
      </c>
      <c r="E13" s="15" t="s">
        <v>6</v>
      </c>
      <c r="F13" s="19">
        <v>0</v>
      </c>
      <c r="G13" s="19">
        <v>14166</v>
      </c>
      <c r="H13" s="19">
        <v>0</v>
      </c>
      <c r="I13" s="21" t="s">
        <v>6</v>
      </c>
      <c r="J13" s="21" t="s">
        <v>6</v>
      </c>
      <c r="K13" s="19" t="s">
        <v>6</v>
      </c>
      <c r="L13" s="19">
        <v>23066</v>
      </c>
      <c r="M13" s="19">
        <v>5308</v>
      </c>
      <c r="N13" s="21" t="s">
        <v>6</v>
      </c>
      <c r="O13" s="15" t="s">
        <v>6</v>
      </c>
      <c r="P13" s="19" t="s">
        <v>6</v>
      </c>
      <c r="Q13" s="19">
        <v>24269</v>
      </c>
      <c r="R13" s="19">
        <v>8392</v>
      </c>
      <c r="S13" s="21" t="s">
        <v>6</v>
      </c>
      <c r="T13" s="21" t="s">
        <v>6</v>
      </c>
      <c r="U13" s="19" t="s">
        <v>6</v>
      </c>
      <c r="V13" s="17" t="s">
        <v>4</v>
      </c>
      <c r="W13" s="19">
        <v>20652</v>
      </c>
      <c r="X13" s="19">
        <v>10580</v>
      </c>
      <c r="Y13" s="19" t="s">
        <v>6</v>
      </c>
      <c r="Z13" s="21" t="s">
        <v>6</v>
      </c>
      <c r="AA13" s="22">
        <v>0</v>
      </c>
      <c r="AB13" s="58">
        <v>23547</v>
      </c>
      <c r="AC13" s="19">
        <v>10902</v>
      </c>
      <c r="AD13" s="35" t="s">
        <v>20</v>
      </c>
      <c r="AE13" s="21" t="s">
        <v>6</v>
      </c>
      <c r="AF13" s="22">
        <v>0</v>
      </c>
      <c r="AG13" s="57"/>
    </row>
    <row r="14" spans="1:42" ht="21.75" customHeight="1">
      <c r="A14" s="17" t="s">
        <v>5</v>
      </c>
      <c r="B14" s="21" t="s">
        <v>6</v>
      </c>
      <c r="C14" s="19">
        <v>988706</v>
      </c>
      <c r="D14" s="15" t="s">
        <v>6</v>
      </c>
      <c r="E14" s="15" t="s">
        <v>6</v>
      </c>
      <c r="F14" s="19">
        <v>209823</v>
      </c>
      <c r="G14" s="19">
        <v>3986348</v>
      </c>
      <c r="H14" s="19">
        <v>1227620</v>
      </c>
      <c r="I14" s="21">
        <v>213471</v>
      </c>
      <c r="J14" s="21" t="s">
        <v>6</v>
      </c>
      <c r="K14" s="19">
        <v>220353</v>
      </c>
      <c r="L14" s="19">
        <v>3918770</v>
      </c>
      <c r="M14" s="19">
        <v>1332792</v>
      </c>
      <c r="N14" s="20">
        <v>474812</v>
      </c>
      <c r="O14" s="15" t="s">
        <v>6</v>
      </c>
      <c r="P14" s="19">
        <v>280065</v>
      </c>
      <c r="Q14" s="19">
        <v>5392401</v>
      </c>
      <c r="R14" s="19">
        <v>1490722</v>
      </c>
      <c r="S14" s="21">
        <v>546776</v>
      </c>
      <c r="T14" s="21" t="s">
        <v>6</v>
      </c>
      <c r="U14" s="19">
        <v>346628</v>
      </c>
      <c r="V14" s="17" t="s">
        <v>5</v>
      </c>
      <c r="W14" s="19">
        <v>4341787</v>
      </c>
      <c r="X14" s="19">
        <v>1267637</v>
      </c>
      <c r="Y14" s="19">
        <v>433845</v>
      </c>
      <c r="Z14" s="21" t="s">
        <v>6</v>
      </c>
      <c r="AA14" s="22">
        <v>77037</v>
      </c>
      <c r="AB14" s="58">
        <v>2462536</v>
      </c>
      <c r="AC14" s="19">
        <v>776260</v>
      </c>
      <c r="AD14" s="7">
        <v>260359</v>
      </c>
      <c r="AE14" s="21" t="s">
        <v>6</v>
      </c>
      <c r="AF14" s="22">
        <v>157004</v>
      </c>
      <c r="AG14" s="57"/>
    </row>
    <row r="15" spans="1:42" ht="28.5" customHeight="1">
      <c r="A15" s="24" t="s">
        <v>15</v>
      </c>
      <c r="B15" s="27" t="s">
        <v>6</v>
      </c>
      <c r="C15" s="36">
        <f>C16+C17</f>
        <v>3708.1518999999998</v>
      </c>
      <c r="D15" s="15" t="s">
        <v>6</v>
      </c>
      <c r="E15" s="15" t="s">
        <v>6</v>
      </c>
      <c r="F15" s="36">
        <f>617036291.92/1000000</f>
        <v>617.03629191999994</v>
      </c>
      <c r="G15" s="26">
        <f>G16+G17</f>
        <v>1824.7197000000001</v>
      </c>
      <c r="H15" s="36">
        <f t="shared" ref="H15" si="18">H16+H17</f>
        <v>4495.9125999999997</v>
      </c>
      <c r="I15" s="27">
        <f>1512580786/1000000</f>
        <v>1512.580786</v>
      </c>
      <c r="J15" s="15" t="s">
        <v>6</v>
      </c>
      <c r="K15" s="36">
        <f>702248331.65/1000000</f>
        <v>702.24833164999995</v>
      </c>
      <c r="L15" s="26">
        <f t="shared" ref="L15:M15" si="19">L16+L17</f>
        <v>15922.844799999999</v>
      </c>
      <c r="M15" s="36">
        <f t="shared" si="19"/>
        <v>4610.6611270000003</v>
      </c>
      <c r="N15" s="37">
        <f>3663501625/1000000</f>
        <v>3663.5016249999999</v>
      </c>
      <c r="O15" s="15" t="s">
        <v>6</v>
      </c>
      <c r="P15" s="36">
        <f>924882893.61/1000000</f>
        <v>924.88289361</v>
      </c>
      <c r="Q15" s="26">
        <f t="shared" ref="Q15:R15" si="20">Q16+Q17</f>
        <v>21679.417150000001</v>
      </c>
      <c r="R15" s="36">
        <f t="shared" si="20"/>
        <v>5151.1906369999997</v>
      </c>
      <c r="S15" s="27">
        <v>3663.502</v>
      </c>
      <c r="T15" s="15" t="s">
        <v>6</v>
      </c>
      <c r="U15" s="36">
        <f>1108878440.08/1000000</f>
        <v>1108.87844008</v>
      </c>
      <c r="V15" s="24" t="s">
        <v>15</v>
      </c>
      <c r="W15" s="26">
        <f t="shared" ref="W15:X15" si="21">W16+W17</f>
        <v>17389.7317</v>
      </c>
      <c r="X15" s="36">
        <f t="shared" si="21"/>
        <v>4213.075409</v>
      </c>
      <c r="Y15" s="26">
        <v>3493.3409999999999</v>
      </c>
      <c r="Z15" s="15" t="s">
        <v>6</v>
      </c>
      <c r="AA15" s="38">
        <f>AA16+AA17</f>
        <v>232.9299</v>
      </c>
      <c r="AB15" s="39">
        <v>10548.854800000001</v>
      </c>
      <c r="AC15" s="36">
        <f>SUM(AC16:AC17)</f>
        <v>2927.5993870000002</v>
      </c>
      <c r="AD15" s="40">
        <f>AD16+AD17</f>
        <v>748.15503100000001</v>
      </c>
      <c r="AE15" s="15" t="s">
        <v>6</v>
      </c>
      <c r="AF15" s="38">
        <f>AF16+AF17</f>
        <v>772.18317000000002</v>
      </c>
      <c r="AG15" s="57"/>
    </row>
    <row r="16" spans="1:42" ht="21.75" customHeight="1">
      <c r="A16" s="17" t="s">
        <v>14</v>
      </c>
      <c r="B16" s="31" t="s">
        <v>6</v>
      </c>
      <c r="C16" s="30">
        <v>0</v>
      </c>
      <c r="D16" s="15" t="s">
        <v>6</v>
      </c>
      <c r="E16" s="15" t="s">
        <v>6</v>
      </c>
      <c r="F16" s="30">
        <v>0</v>
      </c>
      <c r="G16" s="30">
        <f>202154900/1000000</f>
        <v>202.1549</v>
      </c>
      <c r="H16" s="30">
        <v>0</v>
      </c>
      <c r="I16" s="21" t="s">
        <v>6</v>
      </c>
      <c r="J16" s="21" t="s">
        <v>6</v>
      </c>
      <c r="K16" s="30">
        <v>0</v>
      </c>
      <c r="L16" s="30">
        <f>322549200/1000000</f>
        <v>322.54919999999998</v>
      </c>
      <c r="M16" s="41">
        <f>55102621/1000000</f>
        <v>55.102620999999999</v>
      </c>
      <c r="N16" s="21" t="s">
        <v>6</v>
      </c>
      <c r="O16" s="15" t="s">
        <v>6</v>
      </c>
      <c r="P16" s="30">
        <v>0</v>
      </c>
      <c r="Q16" s="30">
        <f>93808550/1000000</f>
        <v>93.808549999999997</v>
      </c>
      <c r="R16" s="41">
        <f>84433434/1000000</f>
        <v>84.433434000000005</v>
      </c>
      <c r="S16" s="21" t="s">
        <v>6</v>
      </c>
      <c r="T16" s="21" t="s">
        <v>6</v>
      </c>
      <c r="U16" s="30">
        <v>0</v>
      </c>
      <c r="V16" s="17" t="s">
        <v>14</v>
      </c>
      <c r="W16" s="30">
        <f>391491650/1000000</f>
        <v>391.49164999999999</v>
      </c>
      <c r="X16" s="41">
        <f>89007522/1000000</f>
        <v>89.007521999999994</v>
      </c>
      <c r="Y16" s="19" t="s">
        <v>6</v>
      </c>
      <c r="Z16" s="21" t="s">
        <v>6</v>
      </c>
      <c r="AA16" s="42">
        <v>0</v>
      </c>
      <c r="AB16" s="59">
        <v>532.34889999999996</v>
      </c>
      <c r="AC16" s="41">
        <f>88841558/1000000</f>
        <v>88.841558000000006</v>
      </c>
      <c r="AD16" s="35" t="s">
        <v>20</v>
      </c>
      <c r="AE16" s="21" t="s">
        <v>6</v>
      </c>
      <c r="AF16" s="42">
        <v>0</v>
      </c>
      <c r="AG16" s="57"/>
    </row>
    <row r="17" spans="1:42" ht="21.75" customHeight="1">
      <c r="A17" s="17" t="s">
        <v>5</v>
      </c>
      <c r="B17" s="31" t="s">
        <v>6</v>
      </c>
      <c r="C17" s="41">
        <f>3708151900/1000000</f>
        <v>3708.1518999999998</v>
      </c>
      <c r="D17" s="15" t="s">
        <v>6</v>
      </c>
      <c r="E17" s="15" t="s">
        <v>6</v>
      </c>
      <c r="F17" s="41">
        <f>617036291.92/1000000</f>
        <v>617.03629191999994</v>
      </c>
      <c r="G17" s="30">
        <f>1622564800/1000000</f>
        <v>1622.5648000000001</v>
      </c>
      <c r="H17" s="41">
        <f>4495912600/1000000</f>
        <v>4495.9125999999997</v>
      </c>
      <c r="I17" s="31">
        <f>1512580786/1000000</f>
        <v>1512.580786</v>
      </c>
      <c r="J17" s="21" t="s">
        <v>6</v>
      </c>
      <c r="K17" s="41">
        <f>702248331.65/1000000</f>
        <v>702.24833164999995</v>
      </c>
      <c r="L17" s="30">
        <f>15600295600/1000000</f>
        <v>15600.295599999999</v>
      </c>
      <c r="M17" s="41">
        <f>4555558506/1000000</f>
        <v>4555.5585060000003</v>
      </c>
      <c r="N17" s="43">
        <f>3663501625/1000000</f>
        <v>3663.5016249999999</v>
      </c>
      <c r="O17" s="15" t="s">
        <v>6</v>
      </c>
      <c r="P17" s="41">
        <f>924882893.61/1000000</f>
        <v>924.88289361</v>
      </c>
      <c r="Q17" s="30">
        <f>21585608600/1000000</f>
        <v>21585.6086</v>
      </c>
      <c r="R17" s="41">
        <f>5066757203/1000000</f>
        <v>5066.7572030000001</v>
      </c>
      <c r="S17" s="31">
        <f>3663501625/1000000</f>
        <v>3663.5016249999999</v>
      </c>
      <c r="T17" s="21" t="s">
        <v>6</v>
      </c>
      <c r="U17" s="41">
        <f>1108878440.08/1000000</f>
        <v>1108.87844008</v>
      </c>
      <c r="V17" s="17" t="s">
        <v>5</v>
      </c>
      <c r="W17" s="30">
        <f>16998240050/1000000</f>
        <v>16998.24005</v>
      </c>
      <c r="X17" s="41">
        <f>4124067887/1000000</f>
        <v>4124.0678870000002</v>
      </c>
      <c r="Y17" s="30">
        <f>3493341090/1000000</f>
        <v>3493.3410899999999</v>
      </c>
      <c r="Z17" s="21" t="s">
        <v>6</v>
      </c>
      <c r="AA17" s="44">
        <f>232929900/1000000</f>
        <v>232.9299</v>
      </c>
      <c r="AB17" s="59">
        <v>10016.5059</v>
      </c>
      <c r="AC17" s="41">
        <f>2838757829/1000000</f>
        <v>2838.7578290000001</v>
      </c>
      <c r="AD17" s="45">
        <f>748155031/1000000</f>
        <v>748.15503100000001</v>
      </c>
      <c r="AE17" s="21" t="s">
        <v>6</v>
      </c>
      <c r="AF17" s="44">
        <f>772183170/1000000</f>
        <v>772.18317000000002</v>
      </c>
      <c r="AG17" s="57"/>
    </row>
    <row r="18" spans="1:42" ht="21.75" customHeight="1">
      <c r="A18" s="3" t="s">
        <v>2</v>
      </c>
      <c r="B18" s="15"/>
      <c r="C18" s="46"/>
      <c r="D18" s="15"/>
      <c r="E18" s="15"/>
      <c r="F18" s="46"/>
      <c r="G18" s="19"/>
      <c r="H18" s="46"/>
      <c r="I18" s="15"/>
      <c r="J18" s="15"/>
      <c r="K18" s="46"/>
      <c r="L18" s="19"/>
      <c r="M18" s="46"/>
      <c r="N18" s="15"/>
      <c r="O18" s="15"/>
      <c r="P18" s="46"/>
      <c r="Q18" s="19"/>
      <c r="R18" s="46"/>
      <c r="S18" s="15"/>
      <c r="T18" s="15"/>
      <c r="U18" s="46"/>
      <c r="V18" s="3" t="s">
        <v>2</v>
      </c>
      <c r="W18" s="19"/>
      <c r="X18" s="46"/>
      <c r="Y18" s="19"/>
      <c r="Z18" s="15"/>
      <c r="AA18" s="47"/>
      <c r="AB18" s="19"/>
      <c r="AC18" s="46"/>
      <c r="AD18" s="7"/>
      <c r="AE18" s="21" t="s">
        <v>6</v>
      </c>
      <c r="AF18" s="47"/>
      <c r="AG18" s="57"/>
    </row>
    <row r="19" spans="1:42" ht="21.75" customHeight="1">
      <c r="A19" s="12" t="s">
        <v>7</v>
      </c>
      <c r="B19" s="15" t="s">
        <v>6</v>
      </c>
      <c r="C19" s="48">
        <v>1977</v>
      </c>
      <c r="D19" s="15" t="s">
        <v>6</v>
      </c>
      <c r="E19" s="15" t="s">
        <v>6</v>
      </c>
      <c r="F19" s="48">
        <v>43</v>
      </c>
      <c r="G19" s="14">
        <v>8743576</v>
      </c>
      <c r="H19" s="48">
        <v>56540</v>
      </c>
      <c r="I19" s="15" t="s">
        <v>6</v>
      </c>
      <c r="J19" s="15" t="s">
        <v>6</v>
      </c>
      <c r="K19" s="48">
        <v>3746</v>
      </c>
      <c r="L19" s="14">
        <v>17234785</v>
      </c>
      <c r="M19" s="49">
        <v>388003</v>
      </c>
      <c r="N19" s="15">
        <v>15632</v>
      </c>
      <c r="O19" s="15" t="s">
        <v>6</v>
      </c>
      <c r="P19" s="48">
        <v>109878</v>
      </c>
      <c r="Q19" s="14">
        <v>26538971</v>
      </c>
      <c r="R19" s="48">
        <v>917474</v>
      </c>
      <c r="S19" s="15">
        <v>388003</v>
      </c>
      <c r="T19" s="15" t="s">
        <v>6</v>
      </c>
      <c r="U19" s="48">
        <v>233859</v>
      </c>
      <c r="V19" s="12" t="s">
        <v>7</v>
      </c>
      <c r="W19" s="14">
        <v>52775225</v>
      </c>
      <c r="X19" s="48">
        <v>2024897</v>
      </c>
      <c r="Y19" s="14">
        <v>1128407</v>
      </c>
      <c r="Z19" s="15" t="s">
        <v>6</v>
      </c>
      <c r="AA19" s="50">
        <v>114231</v>
      </c>
      <c r="AB19" s="51">
        <v>124068027</v>
      </c>
      <c r="AC19" s="48">
        <v>13218508</v>
      </c>
      <c r="AD19" s="10">
        <v>2633104</v>
      </c>
      <c r="AE19" s="15" t="s">
        <v>6</v>
      </c>
      <c r="AF19" s="50">
        <v>2167224</v>
      </c>
      <c r="AG19" s="57"/>
    </row>
    <row r="20" spans="1:42" ht="30.75" customHeight="1">
      <c r="A20" s="68" t="s">
        <v>8</v>
      </c>
      <c r="B20" s="69" t="s">
        <v>6</v>
      </c>
      <c r="C20" s="70">
        <f>5131866.1/1000000</f>
        <v>5.1318660999999999</v>
      </c>
      <c r="D20" s="71" t="s">
        <v>6</v>
      </c>
      <c r="E20" s="71" t="s">
        <v>6</v>
      </c>
      <c r="F20" s="70">
        <f>987808.78/1000000</f>
        <v>0.98780878000000005</v>
      </c>
      <c r="G20" s="72">
        <f>584953758.51/1000000</f>
        <v>584.95375850999994</v>
      </c>
      <c r="H20" s="70">
        <f>501269683.11/1000000</f>
        <v>501.26968311000002</v>
      </c>
      <c r="I20" s="69" t="s">
        <v>6</v>
      </c>
      <c r="J20" s="71" t="s">
        <v>6</v>
      </c>
      <c r="K20" s="70">
        <f>45929788.87/1000000</f>
        <v>45.929788869999996</v>
      </c>
      <c r="L20" s="72">
        <f>34873316227.58/1000000</f>
        <v>34873.316227579999</v>
      </c>
      <c r="M20" s="70">
        <f>3539706908.07/1000000</f>
        <v>3539.7069080700003</v>
      </c>
      <c r="N20" s="69">
        <f>35049291.09/1000000</f>
        <v>35.049291090000004</v>
      </c>
      <c r="O20" s="71" t="s">
        <v>6</v>
      </c>
      <c r="P20" s="70">
        <f>382134704.34/1000000</f>
        <v>382.13470433999998</v>
      </c>
      <c r="Q20" s="72">
        <f>67463317751.69/1000000</f>
        <v>67463.317751690003</v>
      </c>
      <c r="R20" s="70">
        <f>8232418763.18/1000000</f>
        <v>8232.4187631799996</v>
      </c>
      <c r="S20" s="69">
        <f>897509682.83/1000000</f>
        <v>897.50968283000009</v>
      </c>
      <c r="T20" s="71" t="s">
        <v>6</v>
      </c>
      <c r="U20" s="70">
        <f>853311138.24/1000000</f>
        <v>853.31113823999999</v>
      </c>
      <c r="V20" s="68" t="s">
        <v>8</v>
      </c>
      <c r="W20" s="72">
        <f>122523994858.04/1000000</f>
        <v>122523.99485803999</v>
      </c>
      <c r="X20" s="70">
        <f>11723961122.6/1000000</f>
        <v>11723.9611226</v>
      </c>
      <c r="Y20" s="72">
        <f>2619017105.67/1000000</f>
        <v>2619.0171056700001</v>
      </c>
      <c r="Z20" s="71" t="s">
        <v>6</v>
      </c>
      <c r="AA20" s="73">
        <f>796663312.01/1000000</f>
        <v>796.66331201000003</v>
      </c>
      <c r="AB20" s="74">
        <v>310842.00732825504</v>
      </c>
      <c r="AC20" s="70">
        <f>27218658751/1000000</f>
        <v>27218.658750999999</v>
      </c>
      <c r="AD20" s="75">
        <f>684636497986/1000000</f>
        <v>684636.49798600003</v>
      </c>
      <c r="AE20" s="71" t="s">
        <v>6</v>
      </c>
      <c r="AF20" s="73">
        <f>12547368045/1000000</f>
        <v>12547.368044999999</v>
      </c>
      <c r="AG20" s="57"/>
    </row>
    <row r="21" spans="1:42" ht="14.25" customHeight="1">
      <c r="A21" s="60"/>
      <c r="B21" s="60"/>
      <c r="C21" s="60"/>
      <c r="D21" s="60"/>
      <c r="E21" s="60"/>
      <c r="F21" s="60"/>
      <c r="G21" s="60"/>
      <c r="H21" s="52"/>
      <c r="I21" s="53"/>
      <c r="J21" s="54"/>
      <c r="K21" s="52"/>
      <c r="L21" s="55"/>
      <c r="M21" s="52"/>
      <c r="N21" s="53"/>
      <c r="O21" s="54"/>
      <c r="P21" s="56"/>
      <c r="Q21" s="55"/>
      <c r="R21" s="56"/>
      <c r="S21" s="53"/>
      <c r="T21" s="54"/>
      <c r="U21" s="56"/>
      <c r="V21" s="60" t="s">
        <v>18</v>
      </c>
      <c r="W21" s="60"/>
      <c r="X21" s="60"/>
      <c r="Y21" s="60"/>
      <c r="Z21" s="60"/>
      <c r="AA21" s="60"/>
      <c r="AB21" s="60"/>
      <c r="AC21" s="52"/>
      <c r="AD21" s="53"/>
      <c r="AE21" s="54"/>
      <c r="AF21" s="52"/>
      <c r="AG21" s="55"/>
      <c r="AH21" s="52"/>
      <c r="AI21" s="53"/>
      <c r="AJ21" s="54"/>
      <c r="AK21" s="56"/>
      <c r="AL21" s="55"/>
      <c r="AM21" s="56"/>
      <c r="AN21" s="53"/>
      <c r="AO21" s="54"/>
      <c r="AP21" s="56"/>
    </row>
    <row r="22" spans="1:42">
      <c r="A22" s="61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1" t="s">
        <v>17</v>
      </c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</row>
    <row r="23" spans="1:42">
      <c r="W23" s="2"/>
      <c r="X23" s="2"/>
      <c r="Y23" s="2"/>
      <c r="Z23" s="2"/>
      <c r="AA23" s="2"/>
      <c r="AB23" s="2"/>
      <c r="AC23" s="2"/>
      <c r="AD23" s="2"/>
      <c r="AE23" s="2"/>
      <c r="AF23" s="2"/>
    </row>
    <row r="24" spans="1:42">
      <c r="W24" s="2"/>
      <c r="X24" s="2"/>
      <c r="Y24" s="2"/>
      <c r="Z24" s="2"/>
      <c r="AA24" s="2"/>
      <c r="AB24" s="2"/>
      <c r="AC24" s="2"/>
      <c r="AD24" s="2"/>
      <c r="AE24" s="2"/>
      <c r="AF24" s="2"/>
    </row>
  </sheetData>
  <mergeCells count="8">
    <mergeCell ref="AB2:AF2"/>
    <mergeCell ref="W2:AA2"/>
    <mergeCell ref="A2:A3"/>
    <mergeCell ref="B2:F2"/>
    <mergeCell ref="G2:K2"/>
    <mergeCell ref="L2:P2"/>
    <mergeCell ref="Q2:U2"/>
    <mergeCell ref="V2:V3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12.1.2</vt:lpstr>
      <vt:lpstr>'12.1.2'!Print_Titles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2022-09-29T04:39:15Z</dcterms:modified>
</cp:coreProperties>
</file>